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上报版" sheetId="1" r:id="rId1"/>
    <sheet name="平衡建议版" sheetId="2" r:id="rId2"/>
  </sheets>
  <calcPr calcId="144525"/>
</workbook>
</file>

<file path=xl/sharedStrings.xml><?xml version="1.0" encoding="utf-8"?>
<sst xmlns="http://schemas.openxmlformats.org/spreadsheetml/2006/main" count="149" uniqueCount="68">
  <si>
    <t>芜湖市县级征地区片综合地价成果表</t>
  </si>
  <si>
    <t>县（市）</t>
  </si>
  <si>
    <t>区片价（元/亩）</t>
  </si>
  <si>
    <t>编号</t>
  </si>
  <si>
    <t>区片范围</t>
  </si>
  <si>
    <t>农用地标准（元/亩）</t>
  </si>
  <si>
    <t>其中</t>
  </si>
  <si>
    <t>建设用地标准（元/亩）</t>
  </si>
  <si>
    <t>未利用地标准（元/亩）</t>
  </si>
  <si>
    <t>土地补偿费</t>
  </si>
  <si>
    <t>安置补助费</t>
  </si>
  <si>
    <t>无为市</t>
  </si>
  <si>
    <t>I</t>
  </si>
  <si>
    <t>无城镇</t>
  </si>
  <si>
    <t>II</t>
  </si>
  <si>
    <t>高沟镇</t>
  </si>
  <si>
    <t>Ⅲ</t>
  </si>
  <si>
    <t>石涧镇、襄安镇、十里墩镇、赫店镇、刘渡镇、泥汊镇、福渡镇、姚沟镇、陡沟镇、泉塘镇、开城镇、蜀山镇、昆山镇、洪巷镇、牛埠镇、鹤毛镇、红庙镇、严桥镇。</t>
  </si>
  <si>
    <t>芜湖县</t>
  </si>
  <si>
    <t>陶辛镇、六郎镇。</t>
  </si>
  <si>
    <t>湾沚镇。</t>
  </si>
  <si>
    <t>花桥镇、红杨镇。</t>
  </si>
  <si>
    <t>繁昌县</t>
  </si>
  <si>
    <t>繁阳镇铁塔村、铁门村、城西村、华阳村、戴店村，峨山镇凤形村。</t>
  </si>
  <si>
    <t>县经开区三元村、新合村、枣园村、横山村、横东村、西街村；繁阳镇阳冲村；孙村镇龙华村、九连村、枫墩村、犁山村、大冲村、长垅村、金岭社区；获港镇鹊江村、杨湾村、庆大村；新港镇新东村、新荷社区；峨山镇童坝村；平铺镇平铺村、新牌村。</t>
  </si>
  <si>
    <t>繁昌县其他区域。</t>
  </si>
  <si>
    <t>南陵县</t>
  </si>
  <si>
    <t>籍山镇。</t>
  </si>
  <si>
    <t>许镇镇、弋江镇、家发镇。</t>
  </si>
  <si>
    <t>三里镇、烟墩镇、工山镇、何湾镇。</t>
  </si>
  <si>
    <t>芜湖市农用地区片综合地价测算成果表
                                              --2015年标准与2020年标准对比表</t>
  </si>
  <si>
    <r>
      <rPr>
        <b/>
        <sz val="12"/>
        <color theme="1"/>
        <rFont val="Times New Roman"/>
        <charset val="134"/>
      </rPr>
      <t>2015</t>
    </r>
    <r>
      <rPr>
        <b/>
        <sz val="12"/>
        <color theme="1"/>
        <rFont val="宋体"/>
        <charset val="134"/>
      </rPr>
      <t>年统一年产值及补偿标准</t>
    </r>
  </si>
  <si>
    <t>2020年区片综合价标准</t>
  </si>
  <si>
    <t>地区</t>
  </si>
  <si>
    <t>统一年产值补偿标准 
（元/亩）</t>
  </si>
  <si>
    <t>补偿标准平均值</t>
  </si>
  <si>
    <t>区片综合地价
（元/亩）</t>
  </si>
  <si>
    <t>增长额
（元/亩）</t>
  </si>
  <si>
    <t>增长率</t>
  </si>
  <si>
    <t>综合地价平均值</t>
  </si>
  <si>
    <t>市</t>
  </si>
  <si>
    <t>县（市、区）</t>
  </si>
  <si>
    <t>区片范围描述</t>
  </si>
  <si>
    <t>芜湖市</t>
  </si>
  <si>
    <t>市区</t>
  </si>
  <si>
    <t>镜湖区（除荆山街道、方村街道）；弋江区弋江桥街道、利民路街道、中山南路街道，马塘街道，澛港街道、南瑞社区；鸠江区四褐山街道，湾里街道，官陡街道、龙山街道</t>
  </si>
  <si>
    <r>
      <rPr>
        <sz val="11"/>
        <color theme="1"/>
        <rFont val="宋体"/>
        <charset val="134"/>
      </rPr>
      <t>约</t>
    </r>
    <r>
      <rPr>
        <sz val="11"/>
        <color theme="1"/>
        <rFont val="Times New Roman"/>
        <charset val="134"/>
      </rPr>
      <t>45300</t>
    </r>
  </si>
  <si>
    <t>镜湖区（除方村街道、荆山街道荆东社区和荆西社区）；弋江区中山南路街道，马塘街道，澛港街道、南瑞街道；鸠江区四褐山街道，湾里街道，官陡街道、龙山街道</t>
  </si>
  <si>
    <r>
      <rPr>
        <sz val="11"/>
        <color theme="1"/>
        <rFont val="宋体"/>
        <charset val="134"/>
      </rPr>
      <t>约</t>
    </r>
    <r>
      <rPr>
        <sz val="11"/>
        <color theme="1"/>
        <rFont val="Times New Roman"/>
        <charset val="134"/>
      </rPr>
      <t>53000</t>
    </r>
  </si>
  <si>
    <t>镜湖区荆山街道、方村街道；鸠江区清水街道、裕溪口街道、万春街道；弋江区火龙街道、白马街道；三山区三山街道，保定街道，龙湖街道、峨桥镇、高安街道</t>
  </si>
  <si>
    <t>镜湖区荆山街道荆东社区、荆西社区、方村街道；鸠江区清水街道、裕溪口街道、万春街道；弋江区火龙街道、白马街道；三山区三山街道，保定街道，龙湖街道、峨桥镇、高安街道</t>
  </si>
  <si>
    <t>鸠江区沈巷镇、二坝镇、汤沟镇、白茆镇</t>
  </si>
  <si>
    <r>
      <rPr>
        <sz val="12"/>
        <color indexed="8"/>
        <rFont val="仿宋"/>
        <charset val="134"/>
      </rPr>
      <t>无城镇</t>
    </r>
  </si>
  <si>
    <t>约38400</t>
  </si>
  <si>
    <t>约42500</t>
  </si>
  <si>
    <r>
      <rPr>
        <sz val="12"/>
        <color indexed="8"/>
        <rFont val="仿宋"/>
        <charset val="134"/>
      </rPr>
      <t>高沟镇</t>
    </r>
  </si>
  <si>
    <t>石涧镇、襄安镇、十里墩乡、赫店镇、刘渡镇、泥汊镇、福渡镇、姚沟镇、陡沟镇、泉塘镇、开城镇、蜀山镇、昆山乡、洪巷乡、牛埠镇、鹤毛乡、红庙镇、严桥镇。</t>
  </si>
  <si>
    <r>
      <rPr>
        <sz val="11"/>
        <color theme="1"/>
        <rFont val="Times New Roman"/>
        <charset val="134"/>
      </rPr>
      <t>约</t>
    </r>
    <r>
      <rPr>
        <sz val="11"/>
        <color theme="1"/>
        <rFont val="Times New Roman"/>
        <charset val="134"/>
      </rPr>
      <t>41000</t>
    </r>
  </si>
  <si>
    <r>
      <rPr>
        <sz val="11"/>
        <color theme="1"/>
        <rFont val="宋体"/>
        <charset val="134"/>
      </rPr>
      <t>约</t>
    </r>
    <r>
      <rPr>
        <sz val="11"/>
        <color theme="1"/>
        <rFont val="Times New Roman"/>
        <charset val="134"/>
      </rPr>
      <t>46200</t>
    </r>
  </si>
  <si>
    <t>III</t>
  </si>
  <si>
    <t>繁阳镇铁塔、铁门、城西、华阳村。</t>
  </si>
  <si>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约</t>
    </r>
    <r>
      <rPr>
        <sz val="11"/>
        <color theme="1"/>
        <rFont val="Times New Roman"/>
        <charset val="134"/>
      </rPr>
      <t>40300</t>
    </r>
  </si>
  <si>
    <r>
      <rPr>
        <sz val="11"/>
        <color theme="1"/>
        <rFont val="宋体"/>
        <charset val="134"/>
      </rPr>
      <t>约</t>
    </r>
    <r>
      <rPr>
        <sz val="11"/>
        <color theme="1"/>
        <rFont val="Times New Roman"/>
        <charset val="134"/>
      </rPr>
      <t>44400</t>
    </r>
  </si>
  <si>
    <t>繁阳镇戴店村、三元村、新合村、枣园村横山村、阳冲村、横东村、西街村；孙村镇龙华村、九连村、金岭村、枫墩村、犁山村、大冲村、长垅村、桥西居委会；荻港镇鹊江村、杨湾村、庆大村；新港镇新东村、荷圩村；峨山镇凤形村、童坝村；平铺镇平铺村、新牌村。</t>
  </si>
  <si>
    <t>其他地区。</t>
  </si>
  <si>
    <r>
      <rPr>
        <sz val="11"/>
        <color theme="1"/>
        <rFont val="宋体"/>
        <charset val="134"/>
      </rPr>
      <t>约</t>
    </r>
    <r>
      <rPr>
        <sz val="11"/>
        <color theme="1"/>
        <rFont val="Times New Roman"/>
        <charset val="134"/>
      </rPr>
      <t>38200</t>
    </r>
  </si>
  <si>
    <r>
      <rPr>
        <sz val="11"/>
        <color theme="1"/>
        <rFont val="宋体"/>
        <charset val="134"/>
      </rPr>
      <t>约</t>
    </r>
    <r>
      <rPr>
        <sz val="11"/>
        <color theme="1"/>
        <rFont val="Times New Roman"/>
        <charset val="134"/>
      </rPr>
      <t>43000</t>
    </r>
  </si>
  <si>
    <t>注：1、本次测算集体建设用地标准与集体农用地标准一致；
2、本次测算未利用地标准为集体农用地标准0.5倍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</si>
</sst>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_ "/>
    <numFmt numFmtId="178" formatCode="0_);[Red]\(0\)"/>
  </numFmts>
  <fonts count="46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Times New Roman"/>
      <charset val="134"/>
    </font>
    <font>
      <b/>
      <sz val="11"/>
      <color theme="1"/>
      <name val="仿宋_GB2312"/>
      <charset val="134"/>
    </font>
    <font>
      <b/>
      <sz val="11"/>
      <color theme="1"/>
      <name val="Times New Roman"/>
      <charset val="134"/>
    </font>
    <font>
      <sz val="11"/>
      <color theme="1"/>
      <name val="宋体"/>
      <charset val="134"/>
    </font>
    <font>
      <sz val="11"/>
      <color theme="1"/>
      <name val="仿宋_GB2312"/>
      <charset val="134"/>
    </font>
    <font>
      <sz val="12"/>
      <color theme="1"/>
      <name val="仿宋"/>
      <charset val="0"/>
    </font>
    <font>
      <sz val="11"/>
      <color theme="1"/>
      <name val="Times New Roman"/>
      <charset val="134"/>
    </font>
    <font>
      <b/>
      <sz val="11"/>
      <color theme="1"/>
      <name val="宋体"/>
      <charset val="134"/>
    </font>
    <font>
      <sz val="12"/>
      <color theme="1"/>
      <name val="Times New Roman"/>
      <charset val="0"/>
    </font>
    <font>
      <sz val="12"/>
      <color rgb="FF000000"/>
      <name val="仿宋"/>
      <charset val="0"/>
    </font>
    <font>
      <sz val="12"/>
      <color theme="1"/>
      <name val="仿宋"/>
      <charset val="134"/>
    </font>
    <font>
      <sz val="11"/>
      <name val="宋体"/>
      <charset val="134"/>
    </font>
    <font>
      <b/>
      <sz val="11"/>
      <name val="Times New Roman"/>
      <charset val="134"/>
    </font>
    <font>
      <sz val="10"/>
      <name val="Times New Roman"/>
      <charset val="134"/>
    </font>
    <font>
      <b/>
      <sz val="10.5"/>
      <color rgb="FF000000"/>
      <name val="Times New Roman"/>
      <charset val="134"/>
    </font>
    <font>
      <sz val="10.5"/>
      <color rgb="FF000000"/>
      <name val="Times New Roman"/>
      <charset val="134"/>
    </font>
    <font>
      <b/>
      <sz val="12"/>
      <color theme="1"/>
      <name val="Times New Roman"/>
      <charset val="0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000000"/>
      <name val="宋体"/>
      <charset val="134"/>
      <scheme val="minor"/>
    </font>
    <font>
      <sz val="11"/>
      <color rgb="FF000000"/>
      <name val="宋体"/>
      <charset val="0"/>
      <scheme val="minor"/>
    </font>
    <font>
      <b/>
      <sz val="11"/>
      <name val="宋体"/>
      <charset val="0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2"/>
      <color theme="1"/>
      <name val="宋体"/>
      <charset val="134"/>
    </font>
    <font>
      <sz val="12"/>
      <color indexed="8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40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5" fillId="13" borderId="7" applyNumberFormat="0" applyAlignment="0" applyProtection="0">
      <alignment vertical="center"/>
    </xf>
    <xf numFmtId="0" fontId="41" fillId="13" borderId="11" applyNumberFormat="0" applyAlignment="0" applyProtection="0">
      <alignment vertical="center"/>
    </xf>
    <xf numFmtId="0" fontId="27" fillId="4" borderId="5" applyNumberFormat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1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/>
    </xf>
    <xf numFmtId="1" fontId="8" fillId="0" borderId="3" xfId="0" applyNumberFormat="1" applyFont="1" applyFill="1" applyBorder="1" applyAlignment="1">
      <alignment horizontal="center" vertical="center"/>
    </xf>
    <xf numFmtId="1" fontId="8" fillId="0" borderId="4" xfId="0" applyNumberFormat="1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78" fontId="18" fillId="0" borderId="1" xfId="0" applyNumberFormat="1" applyFont="1" applyFill="1" applyBorder="1" applyAlignment="1">
      <alignment horizontal="center" vertical="center" wrapText="1"/>
    </xf>
    <xf numFmtId="177" fontId="16" fillId="0" borderId="1" xfId="0" applyNumberFormat="1" applyFont="1" applyBorder="1" applyAlignment="1">
      <alignment horizontal="center" vertical="center" wrapText="1"/>
    </xf>
    <xf numFmtId="177" fontId="17" fillId="0" borderId="1" xfId="0" applyNumberFormat="1" applyFont="1" applyBorder="1" applyAlignment="1">
      <alignment horizontal="center" vertical="center" wrapText="1"/>
    </xf>
    <xf numFmtId="177" fontId="0" fillId="0" borderId="0" xfId="0" applyNumberFormat="1" applyFill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10" fontId="8" fillId="0" borderId="2" xfId="0" applyNumberFormat="1" applyFont="1" applyFill="1" applyBorder="1" applyAlignment="1">
      <alignment horizontal="center" vertical="center"/>
    </xf>
    <xf numFmtId="177" fontId="8" fillId="0" borderId="3" xfId="0" applyNumberFormat="1" applyFont="1" applyFill="1" applyBorder="1" applyAlignment="1">
      <alignment horizontal="center" vertical="center"/>
    </xf>
    <xf numFmtId="10" fontId="8" fillId="0" borderId="3" xfId="0" applyNumberFormat="1" applyFont="1" applyFill="1" applyBorder="1" applyAlignment="1">
      <alignment horizontal="center" vertical="center"/>
    </xf>
    <xf numFmtId="177" fontId="8" fillId="0" borderId="4" xfId="0" applyNumberFormat="1" applyFont="1" applyFill="1" applyBorder="1" applyAlignment="1">
      <alignment horizontal="center" vertical="center"/>
    </xf>
    <xf numFmtId="10" fontId="8" fillId="0" borderId="4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178" fontId="21" fillId="0" borderId="1" xfId="0" applyNumberFormat="1" applyFont="1" applyFill="1" applyBorder="1" applyAlignment="1">
      <alignment horizontal="center" vertical="center" wrapText="1"/>
    </xf>
    <xf numFmtId="177" fontId="22" fillId="0" borderId="1" xfId="0" applyNumberFormat="1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177" fontId="19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8" fontId="24" fillId="0" borderId="1" xfId="0" applyNumberFormat="1" applyFont="1" applyFill="1" applyBorder="1" applyAlignment="1">
      <alignment horizontal="center" vertical="center" wrapText="1"/>
    </xf>
    <xf numFmtId="177" fontId="25" fillId="0" borderId="1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"/>
  <sheetViews>
    <sheetView tabSelected="1" workbookViewId="0">
      <pane ySplit="4" topLeftCell="A5" activePane="bottomLeft" state="frozen"/>
      <selection/>
      <selection pane="bottomLeft" activeCell="N8" sqref="N8"/>
    </sheetView>
  </sheetViews>
  <sheetFormatPr defaultColWidth="9" defaultRowHeight="13.5"/>
  <cols>
    <col min="1" max="1" width="9.125" style="2" customWidth="1"/>
    <col min="2" max="2" width="5.625" style="2" customWidth="1"/>
    <col min="3" max="3" width="32.25" style="2" customWidth="1"/>
    <col min="4" max="4" width="9.125" style="2" customWidth="1"/>
    <col min="5" max="5" width="8.25" style="2" customWidth="1"/>
    <col min="6" max="6" width="8.5" style="2" customWidth="1"/>
    <col min="7" max="7" width="9" style="2"/>
    <col min="8" max="8" width="13.75" style="2"/>
    <col min="9" max="16384" width="9" style="2"/>
  </cols>
  <sheetData>
    <row r="1" s="1" customFormat="1" ht="25" customHeight="1" spans="1:12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="1" customFormat="1" ht="30" customHeight="1" spans="1:12">
      <c r="A2" s="41" t="s">
        <v>1</v>
      </c>
      <c r="B2" s="41" t="s">
        <v>2</v>
      </c>
      <c r="C2" s="41"/>
      <c r="D2" s="41"/>
      <c r="E2" s="41"/>
      <c r="F2" s="41"/>
      <c r="G2" s="41"/>
      <c r="H2" s="41"/>
      <c r="I2" s="41"/>
      <c r="J2" s="41"/>
      <c r="K2" s="41"/>
      <c r="L2" s="41"/>
    </row>
    <row r="3" s="1" customFormat="1" ht="27" customHeight="1" spans="1:12">
      <c r="A3" s="41"/>
      <c r="B3" s="41" t="s">
        <v>3</v>
      </c>
      <c r="C3" s="41" t="s">
        <v>4</v>
      </c>
      <c r="D3" s="41" t="s">
        <v>5</v>
      </c>
      <c r="E3" s="41" t="s">
        <v>6</v>
      </c>
      <c r="F3" s="41"/>
      <c r="G3" s="41" t="s">
        <v>7</v>
      </c>
      <c r="H3" s="41" t="s">
        <v>6</v>
      </c>
      <c r="I3" s="41"/>
      <c r="J3" s="41" t="s">
        <v>8</v>
      </c>
      <c r="K3" s="41" t="s">
        <v>6</v>
      </c>
      <c r="L3" s="41"/>
    </row>
    <row r="4" s="1" customFormat="1" ht="44" customHeight="1" spans="1:12">
      <c r="A4" s="41"/>
      <c r="B4" s="41"/>
      <c r="C4" s="41"/>
      <c r="D4" s="41"/>
      <c r="E4" s="41" t="s">
        <v>9</v>
      </c>
      <c r="F4" s="41" t="s">
        <v>10</v>
      </c>
      <c r="G4" s="41"/>
      <c r="H4" s="41" t="s">
        <v>9</v>
      </c>
      <c r="I4" s="41" t="s">
        <v>10</v>
      </c>
      <c r="J4" s="41"/>
      <c r="K4" s="41" t="s">
        <v>9</v>
      </c>
      <c r="L4" s="41" t="s">
        <v>10</v>
      </c>
    </row>
    <row r="5" s="1" customFormat="1" ht="18" customHeight="1" spans="1:12">
      <c r="A5" s="42" t="s">
        <v>11</v>
      </c>
      <c r="B5" s="41" t="s">
        <v>12</v>
      </c>
      <c r="C5" s="43" t="s">
        <v>13</v>
      </c>
      <c r="D5" s="44">
        <v>44600</v>
      </c>
      <c r="E5" s="45">
        <f t="shared" ref="E5:E14" si="0">D5*7/22</f>
        <v>14190.9090909091</v>
      </c>
      <c r="F5" s="45">
        <f t="shared" ref="F5:F14" si="1">D5*15/22</f>
        <v>30409.0909090909</v>
      </c>
      <c r="G5" s="44">
        <v>44600</v>
      </c>
      <c r="H5" s="45">
        <f t="shared" ref="H5:H14" si="2">G5*7/22</f>
        <v>14190.9090909091</v>
      </c>
      <c r="I5" s="45">
        <f t="shared" ref="I5:I14" si="3">G5*15/22</f>
        <v>30409.0909090909</v>
      </c>
      <c r="J5" s="49">
        <f t="shared" ref="J5:J16" si="4">G5/2</f>
        <v>22300</v>
      </c>
      <c r="K5" s="50">
        <f t="shared" ref="K5:K14" si="5">J5*7/22</f>
        <v>7095.45454545455</v>
      </c>
      <c r="L5" s="50">
        <f t="shared" ref="L5:L14" si="6">J5*15/22</f>
        <v>15204.5454545455</v>
      </c>
    </row>
    <row r="6" s="1" customFormat="1" ht="17" customHeight="1" spans="1:12">
      <c r="A6" s="42"/>
      <c r="B6" s="41" t="s">
        <v>14</v>
      </c>
      <c r="C6" s="43" t="s">
        <v>15</v>
      </c>
      <c r="D6" s="44">
        <v>43400</v>
      </c>
      <c r="E6" s="45">
        <f t="shared" si="0"/>
        <v>13809.0909090909</v>
      </c>
      <c r="F6" s="45">
        <f t="shared" si="1"/>
        <v>29590.9090909091</v>
      </c>
      <c r="G6" s="44">
        <v>43400</v>
      </c>
      <c r="H6" s="45">
        <f t="shared" si="2"/>
        <v>13809.0909090909</v>
      </c>
      <c r="I6" s="45">
        <f t="shared" si="3"/>
        <v>29590.9090909091</v>
      </c>
      <c r="J6" s="49">
        <f t="shared" si="4"/>
        <v>21700</v>
      </c>
      <c r="K6" s="50">
        <f t="shared" si="5"/>
        <v>6904.54545454545</v>
      </c>
      <c r="L6" s="50">
        <f t="shared" si="6"/>
        <v>14795.4545454545</v>
      </c>
    </row>
    <row r="7" s="1" customFormat="1" ht="77" customHeight="1" spans="1:12">
      <c r="A7" s="42"/>
      <c r="B7" s="41" t="s">
        <v>16</v>
      </c>
      <c r="C7" s="46" t="s">
        <v>17</v>
      </c>
      <c r="D7" s="44">
        <v>42400</v>
      </c>
      <c r="E7" s="45">
        <f t="shared" si="0"/>
        <v>13490.9090909091</v>
      </c>
      <c r="F7" s="45">
        <f t="shared" si="1"/>
        <v>28909.0909090909</v>
      </c>
      <c r="G7" s="44">
        <v>42400</v>
      </c>
      <c r="H7" s="45">
        <f t="shared" si="2"/>
        <v>13490.9090909091</v>
      </c>
      <c r="I7" s="45">
        <f t="shared" si="3"/>
        <v>28909.0909090909</v>
      </c>
      <c r="J7" s="49">
        <f t="shared" si="4"/>
        <v>21200</v>
      </c>
      <c r="K7" s="50">
        <f t="shared" si="5"/>
        <v>6745.45454545455</v>
      </c>
      <c r="L7" s="50">
        <f t="shared" si="6"/>
        <v>14454.5454545455</v>
      </c>
    </row>
    <row r="8" s="1" customFormat="1" ht="32" customHeight="1" spans="1:12">
      <c r="A8" s="42" t="s">
        <v>18</v>
      </c>
      <c r="B8" s="41" t="s">
        <v>12</v>
      </c>
      <c r="C8" s="46" t="s">
        <v>19</v>
      </c>
      <c r="D8" s="47">
        <v>47130</v>
      </c>
      <c r="E8" s="45">
        <f t="shared" si="0"/>
        <v>14995.9090909091</v>
      </c>
      <c r="F8" s="45">
        <f t="shared" si="1"/>
        <v>32134.0909090909</v>
      </c>
      <c r="G8" s="47">
        <v>47130</v>
      </c>
      <c r="H8" s="45">
        <f t="shared" si="2"/>
        <v>14995.9090909091</v>
      </c>
      <c r="I8" s="45">
        <f t="shared" si="3"/>
        <v>32134.0909090909</v>
      </c>
      <c r="J8" s="44">
        <f t="shared" si="4"/>
        <v>23565</v>
      </c>
      <c r="K8" s="45">
        <f t="shared" si="5"/>
        <v>7497.95454545455</v>
      </c>
      <c r="L8" s="45">
        <f t="shared" si="6"/>
        <v>16067.0454545455</v>
      </c>
    </row>
    <row r="9" s="1" customFormat="1" ht="32" customHeight="1" spans="1:12">
      <c r="A9" s="42"/>
      <c r="B9" s="41" t="s">
        <v>14</v>
      </c>
      <c r="C9" s="46" t="s">
        <v>20</v>
      </c>
      <c r="D9" s="47">
        <v>46210</v>
      </c>
      <c r="E9" s="45">
        <f t="shared" si="0"/>
        <v>14703.1818181818</v>
      </c>
      <c r="F9" s="45">
        <f t="shared" si="1"/>
        <v>31506.8181818182</v>
      </c>
      <c r="G9" s="47">
        <v>46210</v>
      </c>
      <c r="H9" s="45">
        <f t="shared" si="2"/>
        <v>14703.1818181818</v>
      </c>
      <c r="I9" s="45">
        <f t="shared" si="3"/>
        <v>31506.8181818182</v>
      </c>
      <c r="J9" s="44">
        <f t="shared" si="4"/>
        <v>23105</v>
      </c>
      <c r="K9" s="45">
        <f t="shared" si="5"/>
        <v>7351.59090909091</v>
      </c>
      <c r="L9" s="45">
        <f t="shared" si="6"/>
        <v>15753.4090909091</v>
      </c>
    </row>
    <row r="10" s="1" customFormat="1" ht="32" customHeight="1" spans="1:12">
      <c r="A10" s="42"/>
      <c r="B10" s="41" t="s">
        <v>16</v>
      </c>
      <c r="C10" s="46" t="s">
        <v>21</v>
      </c>
      <c r="D10" s="47">
        <v>45310</v>
      </c>
      <c r="E10" s="45">
        <f t="shared" si="0"/>
        <v>14416.8181818182</v>
      </c>
      <c r="F10" s="45">
        <f t="shared" si="1"/>
        <v>30893.1818181818</v>
      </c>
      <c r="G10" s="47">
        <v>45310</v>
      </c>
      <c r="H10" s="45">
        <f t="shared" si="2"/>
        <v>14416.8181818182</v>
      </c>
      <c r="I10" s="45">
        <f t="shared" si="3"/>
        <v>30893.1818181818</v>
      </c>
      <c r="J10" s="44">
        <f t="shared" si="4"/>
        <v>22655</v>
      </c>
      <c r="K10" s="45">
        <f t="shared" si="5"/>
        <v>7208.40909090909</v>
      </c>
      <c r="L10" s="45">
        <f t="shared" si="6"/>
        <v>15446.5909090909</v>
      </c>
    </row>
    <row r="11" s="1" customFormat="1" ht="32" customHeight="1" spans="1:12">
      <c r="A11" s="42" t="s">
        <v>22</v>
      </c>
      <c r="B11" s="41" t="s">
        <v>12</v>
      </c>
      <c r="C11" s="46" t="s">
        <v>23</v>
      </c>
      <c r="D11" s="47">
        <v>47960</v>
      </c>
      <c r="E11" s="45">
        <f t="shared" si="0"/>
        <v>15260</v>
      </c>
      <c r="F11" s="45">
        <f t="shared" si="1"/>
        <v>32700</v>
      </c>
      <c r="G11" s="47">
        <v>47960</v>
      </c>
      <c r="H11" s="45">
        <f t="shared" si="2"/>
        <v>15260</v>
      </c>
      <c r="I11" s="45">
        <f t="shared" si="3"/>
        <v>32700</v>
      </c>
      <c r="J11" s="44">
        <f t="shared" si="4"/>
        <v>23980</v>
      </c>
      <c r="K11" s="45">
        <f t="shared" si="5"/>
        <v>7630</v>
      </c>
      <c r="L11" s="45">
        <f t="shared" si="6"/>
        <v>16350</v>
      </c>
    </row>
    <row r="12" s="1" customFormat="1" ht="110" customHeight="1" spans="1:12">
      <c r="A12" s="42"/>
      <c r="B12" s="41" t="s">
        <v>14</v>
      </c>
      <c r="C12" s="46" t="s">
        <v>24</v>
      </c>
      <c r="D12" s="47">
        <v>45540</v>
      </c>
      <c r="E12" s="45">
        <f t="shared" si="0"/>
        <v>14490</v>
      </c>
      <c r="F12" s="45">
        <f t="shared" si="1"/>
        <v>31050</v>
      </c>
      <c r="G12" s="47">
        <v>45540</v>
      </c>
      <c r="H12" s="45">
        <f t="shared" si="2"/>
        <v>14490</v>
      </c>
      <c r="I12" s="45">
        <f t="shared" si="3"/>
        <v>31050</v>
      </c>
      <c r="J12" s="44">
        <f t="shared" si="4"/>
        <v>22770</v>
      </c>
      <c r="K12" s="45">
        <f t="shared" si="5"/>
        <v>7245</v>
      </c>
      <c r="L12" s="45">
        <f t="shared" si="6"/>
        <v>15525</v>
      </c>
    </row>
    <row r="13" s="1" customFormat="1" ht="24" customHeight="1" spans="1:12">
      <c r="A13" s="42"/>
      <c r="B13" s="41" t="s">
        <v>16</v>
      </c>
      <c r="C13" s="46" t="s">
        <v>25</v>
      </c>
      <c r="D13" s="47">
        <v>43670</v>
      </c>
      <c r="E13" s="45">
        <f t="shared" si="0"/>
        <v>13895</v>
      </c>
      <c r="F13" s="45">
        <f t="shared" si="1"/>
        <v>29775</v>
      </c>
      <c r="G13" s="47">
        <v>43670</v>
      </c>
      <c r="H13" s="45">
        <f t="shared" si="2"/>
        <v>13895</v>
      </c>
      <c r="I13" s="45">
        <f t="shared" si="3"/>
        <v>29775</v>
      </c>
      <c r="J13" s="44">
        <f t="shared" si="4"/>
        <v>21835</v>
      </c>
      <c r="K13" s="45">
        <f t="shared" si="5"/>
        <v>6947.5</v>
      </c>
      <c r="L13" s="45">
        <f t="shared" si="6"/>
        <v>14887.5</v>
      </c>
    </row>
    <row r="14" s="1" customFormat="1" ht="18" customHeight="1" spans="1:12">
      <c r="A14" s="42" t="s">
        <v>26</v>
      </c>
      <c r="B14" s="41" t="s">
        <v>12</v>
      </c>
      <c r="C14" s="48" t="s">
        <v>27</v>
      </c>
      <c r="D14" s="47">
        <v>46740</v>
      </c>
      <c r="E14" s="45">
        <f t="shared" si="0"/>
        <v>14871.8181818182</v>
      </c>
      <c r="F14" s="45">
        <f t="shared" si="1"/>
        <v>31868.1818181818</v>
      </c>
      <c r="G14" s="47">
        <v>46740</v>
      </c>
      <c r="H14" s="45">
        <f t="shared" si="2"/>
        <v>14871.8181818182</v>
      </c>
      <c r="I14" s="45">
        <f t="shared" si="3"/>
        <v>31868.1818181818</v>
      </c>
      <c r="J14" s="44">
        <f t="shared" si="4"/>
        <v>23370</v>
      </c>
      <c r="K14" s="45">
        <f t="shared" si="5"/>
        <v>7435.90909090909</v>
      </c>
      <c r="L14" s="45">
        <f t="shared" si="6"/>
        <v>15934.0909090909</v>
      </c>
    </row>
    <row r="15" s="1" customFormat="1" ht="21" customHeight="1" spans="1:12">
      <c r="A15" s="42"/>
      <c r="B15" s="41" t="s">
        <v>14</v>
      </c>
      <c r="C15" s="48" t="s">
        <v>28</v>
      </c>
      <c r="D15" s="47">
        <v>43310</v>
      </c>
      <c r="E15" s="45">
        <f>D15*7/21</f>
        <v>14436.6666666667</v>
      </c>
      <c r="F15" s="45">
        <f>D15*14/21</f>
        <v>28873.3333333333</v>
      </c>
      <c r="G15" s="47">
        <v>43310</v>
      </c>
      <c r="H15" s="45">
        <f>G15*7/21</f>
        <v>14436.6666666667</v>
      </c>
      <c r="I15" s="45">
        <f>G15*14/21</f>
        <v>28873.3333333333</v>
      </c>
      <c r="J15" s="44">
        <f t="shared" si="4"/>
        <v>21655</v>
      </c>
      <c r="K15" s="45">
        <f>J15*7/21</f>
        <v>7218.33333333333</v>
      </c>
      <c r="L15" s="45">
        <f>J15*14/21</f>
        <v>14436.6666666667</v>
      </c>
    </row>
    <row r="16" s="1" customFormat="1" ht="21" customHeight="1" spans="1:12">
      <c r="A16" s="42"/>
      <c r="B16" s="41" t="s">
        <v>16</v>
      </c>
      <c r="C16" s="48" t="s">
        <v>29</v>
      </c>
      <c r="D16" s="47">
        <v>41920</v>
      </c>
      <c r="E16" s="45">
        <f>D16*7/21</f>
        <v>13973.3333333333</v>
      </c>
      <c r="F16" s="45">
        <f>D16*14/21</f>
        <v>27946.6666666667</v>
      </c>
      <c r="G16" s="47">
        <v>41920</v>
      </c>
      <c r="H16" s="45">
        <f>G16*7/21</f>
        <v>13973.3333333333</v>
      </c>
      <c r="I16" s="45">
        <f>G16*14/21</f>
        <v>27946.6666666667</v>
      </c>
      <c r="J16" s="44">
        <f t="shared" si="4"/>
        <v>20960</v>
      </c>
      <c r="K16" s="45">
        <f>J16*7/21</f>
        <v>6986.66666666667</v>
      </c>
      <c r="L16" s="45">
        <f>J16*14/21</f>
        <v>13973.3333333333</v>
      </c>
    </row>
    <row r="17" ht="25" customHeight="1" spans="1:6">
      <c r="A17" s="24"/>
      <c r="B17" s="24"/>
      <c r="C17" s="24"/>
      <c r="D17" s="24"/>
      <c r="E17" s="24"/>
      <c r="F17" s="24"/>
    </row>
  </sheetData>
  <mergeCells count="15">
    <mergeCell ref="A1:L1"/>
    <mergeCell ref="B2:L2"/>
    <mergeCell ref="E3:F3"/>
    <mergeCell ref="H3:I3"/>
    <mergeCell ref="K3:L3"/>
    <mergeCell ref="A2:A4"/>
    <mergeCell ref="A5:A7"/>
    <mergeCell ref="A8:A10"/>
    <mergeCell ref="A11:A13"/>
    <mergeCell ref="A14:A16"/>
    <mergeCell ref="B3:B4"/>
    <mergeCell ref="C3:C4"/>
    <mergeCell ref="D3:D4"/>
    <mergeCell ref="G3:G4"/>
    <mergeCell ref="J3:J4"/>
  </mergeCells>
  <pageMargins left="0.751388888888889" right="0.751388888888889" top="0.196527777777778" bottom="0.196527777777778" header="0.5" footer="0.5"/>
  <pageSetup paperSize="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1"/>
  <sheetViews>
    <sheetView topLeftCell="C10" workbookViewId="0">
      <selection activeCell="I13" sqref="I13:R13"/>
    </sheetView>
  </sheetViews>
  <sheetFormatPr defaultColWidth="9" defaultRowHeight="13.5"/>
  <cols>
    <col min="1" max="1" width="7" style="2" customWidth="1"/>
    <col min="2" max="2" width="9.125" style="2" customWidth="1"/>
    <col min="3" max="3" width="5.625" style="2" customWidth="1"/>
    <col min="4" max="4" width="40.25" style="2" customWidth="1"/>
    <col min="5" max="5" width="17" style="2" customWidth="1"/>
    <col min="6" max="6" width="9" style="2" customWidth="1"/>
    <col min="7" max="7" width="8.875" style="2" customWidth="1"/>
    <col min="8" max="8" width="9" style="1"/>
    <col min="9" max="9" width="5.625" style="2" customWidth="1"/>
    <col min="10" max="10" width="40.25" style="2" customWidth="1"/>
    <col min="11" max="11" width="14.25" style="2" customWidth="1"/>
    <col min="12" max="12" width="10.25" style="2" customWidth="1"/>
    <col min="13" max="13" width="7" style="2" customWidth="1"/>
    <col min="14" max="14" width="8.25" style="2" customWidth="1"/>
    <col min="15" max="15" width="10.25" style="2" customWidth="1"/>
    <col min="16" max="16" width="7" style="2" customWidth="1"/>
    <col min="17" max="17" width="8.5" style="2" customWidth="1"/>
    <col min="18" max="18" width="10.25" style="2" customWidth="1"/>
    <col min="19" max="19" width="7" style="2" customWidth="1"/>
    <col min="20" max="20" width="8.75" style="2" customWidth="1"/>
    <col min="21" max="21" width="9" style="2" customWidth="1"/>
    <col min="22" max="22" width="9" style="2"/>
    <col min="23" max="23" width="13.75" style="2"/>
    <col min="24" max="16384" width="9" style="2"/>
  </cols>
  <sheetData>
    <row r="1" s="1" customFormat="1" ht="65" customHeight="1" spans="1:1">
      <c r="A1" s="3" t="s">
        <v>30</v>
      </c>
    </row>
    <row r="2" s="1" customFormat="1" ht="30" customHeight="1" spans="1:21">
      <c r="A2" s="4" t="s">
        <v>31</v>
      </c>
      <c r="B2" s="4"/>
      <c r="C2" s="4"/>
      <c r="D2" s="4"/>
      <c r="E2" s="4"/>
      <c r="F2" s="4"/>
      <c r="G2" s="4"/>
      <c r="H2" s="4"/>
      <c r="I2" s="4" t="s">
        <v>32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="1" customFormat="1" ht="27" customHeight="1" spans="1:21">
      <c r="A3" s="5" t="s">
        <v>33</v>
      </c>
      <c r="B3" s="6"/>
      <c r="C3" s="6"/>
      <c r="D3" s="7"/>
      <c r="E3" s="7" t="s">
        <v>34</v>
      </c>
      <c r="F3" s="5" t="s">
        <v>6</v>
      </c>
      <c r="G3" s="5"/>
      <c r="H3" s="7" t="s">
        <v>35</v>
      </c>
      <c r="I3" s="6"/>
      <c r="J3" s="7"/>
      <c r="K3" s="7" t="s">
        <v>36</v>
      </c>
      <c r="L3" s="7" t="s">
        <v>37</v>
      </c>
      <c r="M3" s="7" t="s">
        <v>38</v>
      </c>
      <c r="N3" s="5" t="s">
        <v>6</v>
      </c>
      <c r="O3" s="5"/>
      <c r="P3" s="5"/>
      <c r="Q3" s="5"/>
      <c r="R3" s="5"/>
      <c r="S3" s="5"/>
      <c r="T3" s="7" t="s">
        <v>39</v>
      </c>
      <c r="U3" s="7" t="s">
        <v>38</v>
      </c>
    </row>
    <row r="4" s="1" customFormat="1" ht="44" customHeight="1" spans="1:21">
      <c r="A4" s="5" t="s">
        <v>40</v>
      </c>
      <c r="B4" s="7" t="s">
        <v>41</v>
      </c>
      <c r="C4" s="5" t="s">
        <v>3</v>
      </c>
      <c r="D4" s="7" t="s">
        <v>42</v>
      </c>
      <c r="E4" s="7"/>
      <c r="F4" s="7" t="s">
        <v>9</v>
      </c>
      <c r="G4" s="7" t="s">
        <v>10</v>
      </c>
      <c r="H4" s="7"/>
      <c r="I4" s="5" t="s">
        <v>3</v>
      </c>
      <c r="J4" s="7" t="s">
        <v>42</v>
      </c>
      <c r="K4" s="7"/>
      <c r="L4" s="7"/>
      <c r="M4" s="7"/>
      <c r="N4" s="7" t="s">
        <v>9</v>
      </c>
      <c r="O4" s="7" t="s">
        <v>37</v>
      </c>
      <c r="P4" s="7" t="s">
        <v>38</v>
      </c>
      <c r="Q4" s="7" t="s">
        <v>10</v>
      </c>
      <c r="R4" s="7" t="s">
        <v>37</v>
      </c>
      <c r="S4" s="7" t="s">
        <v>38</v>
      </c>
      <c r="T4" s="7"/>
      <c r="U4" s="7"/>
    </row>
    <row r="5" s="1" customFormat="1" ht="74" customHeight="1" spans="1:24">
      <c r="A5" s="8" t="s">
        <v>43</v>
      </c>
      <c r="B5" s="9" t="s">
        <v>44</v>
      </c>
      <c r="C5" s="6" t="s">
        <v>12</v>
      </c>
      <c r="D5" s="10" t="s">
        <v>45</v>
      </c>
      <c r="E5" s="11">
        <v>51480</v>
      </c>
      <c r="F5" s="11">
        <v>19800</v>
      </c>
      <c r="G5" s="11">
        <v>31680</v>
      </c>
      <c r="H5" s="12" t="s">
        <v>46</v>
      </c>
      <c r="I5" s="6" t="s">
        <v>12</v>
      </c>
      <c r="J5" s="10" t="s">
        <v>47</v>
      </c>
      <c r="K5" s="25">
        <v>60300</v>
      </c>
      <c r="L5" s="26">
        <f t="shared" ref="L5:L19" si="0">K5-E5</f>
        <v>8820</v>
      </c>
      <c r="M5" s="12">
        <f t="shared" ref="M5:M19" si="1">K5/E5-1</f>
        <v>0.171328671328671</v>
      </c>
      <c r="N5" s="27">
        <f t="shared" ref="N5:N7" si="2">K5*0.4</f>
        <v>24120</v>
      </c>
      <c r="O5" s="28">
        <f>N5-F5</f>
        <v>4320</v>
      </c>
      <c r="P5" s="12">
        <f>N5/F5-1</f>
        <v>0.218181818181818</v>
      </c>
      <c r="Q5" s="27">
        <f t="shared" ref="Q5:Q7" si="3">K5*0.6</f>
        <v>36180</v>
      </c>
      <c r="R5" s="28">
        <f>Q5-G5</f>
        <v>4500</v>
      </c>
      <c r="S5" s="12">
        <f>Q5/G5-1</f>
        <v>0.142045454545455</v>
      </c>
      <c r="T5" s="12" t="s">
        <v>48</v>
      </c>
      <c r="U5" s="12">
        <v>0.1726</v>
      </c>
      <c r="W5" s="32"/>
      <c r="X5" s="32"/>
    </row>
    <row r="6" s="1" customFormat="1" ht="86" customHeight="1" spans="1:24">
      <c r="A6" s="8"/>
      <c r="B6" s="13"/>
      <c r="C6" s="6" t="s">
        <v>14</v>
      </c>
      <c r="D6" s="10" t="s">
        <v>49</v>
      </c>
      <c r="E6" s="11">
        <v>49400</v>
      </c>
      <c r="F6" s="11">
        <v>19000</v>
      </c>
      <c r="G6" s="11">
        <v>30400</v>
      </c>
      <c r="H6" s="12"/>
      <c r="I6" s="6" t="s">
        <v>14</v>
      </c>
      <c r="J6" s="10" t="s">
        <v>50</v>
      </c>
      <c r="K6" s="25">
        <v>57900</v>
      </c>
      <c r="L6" s="26">
        <f t="shared" si="0"/>
        <v>8500</v>
      </c>
      <c r="M6" s="12">
        <f t="shared" si="1"/>
        <v>0.172064777327935</v>
      </c>
      <c r="N6" s="27">
        <f t="shared" si="2"/>
        <v>23160</v>
      </c>
      <c r="O6" s="28">
        <f>N6-F6</f>
        <v>4160</v>
      </c>
      <c r="P6" s="12">
        <f>N6/F6-1</f>
        <v>0.218947368421053</v>
      </c>
      <c r="Q6" s="27">
        <f t="shared" si="3"/>
        <v>34740</v>
      </c>
      <c r="R6" s="28">
        <f>Q6-G6</f>
        <v>4340</v>
      </c>
      <c r="S6" s="12">
        <f>Q6/G6-1</f>
        <v>0.142763157894737</v>
      </c>
      <c r="T6" s="12"/>
      <c r="U6" s="12"/>
      <c r="W6" s="32"/>
      <c r="X6" s="32"/>
    </row>
    <row r="7" s="1" customFormat="1" ht="32" customHeight="1" spans="1:24">
      <c r="A7" s="8"/>
      <c r="B7" s="13"/>
      <c r="C7" s="14" t="s">
        <v>16</v>
      </c>
      <c r="D7" s="10" t="s">
        <v>51</v>
      </c>
      <c r="E7" s="11">
        <v>38720</v>
      </c>
      <c r="F7" s="11">
        <v>12320</v>
      </c>
      <c r="G7" s="11">
        <v>26400</v>
      </c>
      <c r="H7" s="12"/>
      <c r="I7" s="14" t="s">
        <v>16</v>
      </c>
      <c r="J7" s="10" t="s">
        <v>51</v>
      </c>
      <c r="K7" s="25">
        <v>48300</v>
      </c>
      <c r="L7" s="26">
        <f t="shared" si="0"/>
        <v>9580</v>
      </c>
      <c r="M7" s="12">
        <f t="shared" si="1"/>
        <v>0.247417355371901</v>
      </c>
      <c r="N7" s="27">
        <f t="shared" si="2"/>
        <v>19320</v>
      </c>
      <c r="O7" s="28">
        <f>N7-F7</f>
        <v>7000</v>
      </c>
      <c r="P7" s="12">
        <f>N7/F7-1</f>
        <v>0.568181818181818</v>
      </c>
      <c r="Q7" s="27">
        <f t="shared" si="3"/>
        <v>28980</v>
      </c>
      <c r="R7" s="28">
        <f>Q7-G7</f>
        <v>2580</v>
      </c>
      <c r="S7" s="12">
        <f>Q7/G7-1</f>
        <v>0.0977272727272727</v>
      </c>
      <c r="T7" s="12"/>
      <c r="U7" s="12"/>
      <c r="W7" s="32"/>
      <c r="X7" s="32"/>
    </row>
    <row r="8" s="1" customFormat="1" ht="32" customHeight="1" spans="1:24">
      <c r="A8" s="8"/>
      <c r="B8" s="8" t="s">
        <v>11</v>
      </c>
      <c r="C8" s="6" t="s">
        <v>12</v>
      </c>
      <c r="D8" s="15" t="s">
        <v>52</v>
      </c>
      <c r="E8" s="11">
        <v>40260</v>
      </c>
      <c r="F8" s="11">
        <f>1830*7</f>
        <v>12810</v>
      </c>
      <c r="G8" s="11">
        <f>1830*15</f>
        <v>27450</v>
      </c>
      <c r="H8" s="12" t="s">
        <v>53</v>
      </c>
      <c r="I8" s="6" t="s">
        <v>12</v>
      </c>
      <c r="J8" s="15" t="s">
        <v>52</v>
      </c>
      <c r="K8" s="29">
        <v>44600</v>
      </c>
      <c r="L8" s="26">
        <f t="shared" si="0"/>
        <v>4340</v>
      </c>
      <c r="M8" s="12">
        <f t="shared" si="1"/>
        <v>0.107799304520616</v>
      </c>
      <c r="N8" s="30">
        <f>K8*0.35</f>
        <v>15610</v>
      </c>
      <c r="O8" s="31">
        <f>N8-F8</f>
        <v>2800</v>
      </c>
      <c r="P8" s="12">
        <f>N8/F8-1</f>
        <v>0.218579234972677</v>
      </c>
      <c r="Q8" s="30">
        <f>K8*65%</f>
        <v>28990</v>
      </c>
      <c r="R8" s="31">
        <f>Q8-G8</f>
        <v>1540</v>
      </c>
      <c r="S8" s="12">
        <f>Q8/G8-1</f>
        <v>0.0561020036429873</v>
      </c>
      <c r="T8" s="12" t="s">
        <v>54</v>
      </c>
      <c r="U8" s="12">
        <v>0.1069</v>
      </c>
      <c r="W8" s="32"/>
      <c r="X8" s="32"/>
    </row>
    <row r="9" s="1" customFormat="1" ht="32" customHeight="1" spans="1:24">
      <c r="A9" s="8"/>
      <c r="B9" s="8"/>
      <c r="C9" s="6" t="s">
        <v>14</v>
      </c>
      <c r="D9" s="15" t="s">
        <v>55</v>
      </c>
      <c r="E9" s="11">
        <v>39160</v>
      </c>
      <c r="F9" s="11">
        <f>1780*7</f>
        <v>12460</v>
      </c>
      <c r="G9" s="11">
        <f>1780*15</f>
        <v>26700</v>
      </c>
      <c r="H9" s="12"/>
      <c r="I9" s="6" t="s">
        <v>14</v>
      </c>
      <c r="J9" s="15" t="s">
        <v>55</v>
      </c>
      <c r="K9" s="29">
        <v>43400</v>
      </c>
      <c r="L9" s="26">
        <f t="shared" si="0"/>
        <v>4240</v>
      </c>
      <c r="M9" s="12">
        <f t="shared" si="1"/>
        <v>0.108273748723187</v>
      </c>
      <c r="N9" s="30">
        <f t="shared" ref="N9:N19" si="4">K9*0.35</f>
        <v>15190</v>
      </c>
      <c r="O9" s="31">
        <f t="shared" ref="O9:O19" si="5">N9-F9</f>
        <v>2730</v>
      </c>
      <c r="P9" s="12">
        <f t="shared" ref="P9:P19" si="6">N9/F9-1</f>
        <v>0.219101123595505</v>
      </c>
      <c r="Q9" s="30">
        <f t="shared" ref="Q9:Q19" si="7">K9*65%</f>
        <v>28210</v>
      </c>
      <c r="R9" s="31">
        <f t="shared" ref="R9:R19" si="8">Q9-G9</f>
        <v>1510</v>
      </c>
      <c r="S9" s="12">
        <f t="shared" ref="S9:S19" si="9">Q9/G9-1</f>
        <v>0.0565543071161048</v>
      </c>
      <c r="T9" s="12"/>
      <c r="U9" s="12"/>
      <c r="W9" s="32"/>
      <c r="X9" s="32"/>
    </row>
    <row r="10" s="1" customFormat="1" ht="77" customHeight="1" spans="1:24">
      <c r="A10" s="8"/>
      <c r="B10" s="8"/>
      <c r="C10" s="14" t="s">
        <v>16</v>
      </c>
      <c r="D10" s="16" t="s">
        <v>56</v>
      </c>
      <c r="E10" s="11">
        <v>38280</v>
      </c>
      <c r="F10" s="11">
        <f>1740*7</f>
        <v>12180</v>
      </c>
      <c r="G10" s="11">
        <f>1740*15</f>
        <v>26100</v>
      </c>
      <c r="H10" s="12"/>
      <c r="I10" s="14" t="s">
        <v>16</v>
      </c>
      <c r="J10" s="16" t="s">
        <v>17</v>
      </c>
      <c r="K10" s="29">
        <v>42400</v>
      </c>
      <c r="L10" s="26">
        <f t="shared" si="0"/>
        <v>4120</v>
      </c>
      <c r="M10" s="12">
        <f t="shared" si="1"/>
        <v>0.107628004179728</v>
      </c>
      <c r="N10" s="30">
        <f t="shared" si="4"/>
        <v>14840</v>
      </c>
      <c r="O10" s="31">
        <f t="shared" si="5"/>
        <v>2660</v>
      </c>
      <c r="P10" s="12">
        <f t="shared" si="6"/>
        <v>0.218390804597701</v>
      </c>
      <c r="Q10" s="30">
        <f t="shared" si="7"/>
        <v>27560</v>
      </c>
      <c r="R10" s="31">
        <f t="shared" si="8"/>
        <v>1460</v>
      </c>
      <c r="S10" s="12">
        <f t="shared" si="9"/>
        <v>0.0559386973180076</v>
      </c>
      <c r="T10" s="12"/>
      <c r="U10" s="12"/>
      <c r="W10" s="32"/>
      <c r="X10" s="32"/>
    </row>
    <row r="11" s="1" customFormat="1" ht="32" customHeight="1" spans="1:24">
      <c r="A11" s="8"/>
      <c r="B11" s="9" t="s">
        <v>18</v>
      </c>
      <c r="C11" s="6" t="s">
        <v>12</v>
      </c>
      <c r="D11" s="16" t="s">
        <v>19</v>
      </c>
      <c r="E11" s="11">
        <v>41800</v>
      </c>
      <c r="F11" s="11">
        <f>1900*7</f>
        <v>13300</v>
      </c>
      <c r="G11" s="11">
        <f>1900*15</f>
        <v>28500</v>
      </c>
      <c r="H11" s="12" t="s">
        <v>57</v>
      </c>
      <c r="I11" s="6" t="s">
        <v>12</v>
      </c>
      <c r="J11" s="16" t="s">
        <v>19</v>
      </c>
      <c r="K11" s="25">
        <v>47130</v>
      </c>
      <c r="L11" s="26">
        <f t="shared" si="0"/>
        <v>5330</v>
      </c>
      <c r="M11" s="12">
        <f t="shared" si="1"/>
        <v>0.127511961722488</v>
      </c>
      <c r="N11" s="30">
        <f t="shared" si="4"/>
        <v>16495.5</v>
      </c>
      <c r="O11" s="31">
        <f t="shared" si="5"/>
        <v>3195.5</v>
      </c>
      <c r="P11" s="12">
        <f t="shared" si="6"/>
        <v>0.240263157894737</v>
      </c>
      <c r="Q11" s="30">
        <f t="shared" si="7"/>
        <v>30634.5</v>
      </c>
      <c r="R11" s="31">
        <f t="shared" si="8"/>
        <v>2134.5</v>
      </c>
      <c r="S11" s="12">
        <f t="shared" si="9"/>
        <v>0.0748947368421053</v>
      </c>
      <c r="T11" s="33" t="s">
        <v>58</v>
      </c>
      <c r="U11" s="12">
        <v>0.127</v>
      </c>
      <c r="W11" s="32"/>
      <c r="X11" s="32"/>
    </row>
    <row r="12" s="1" customFormat="1" ht="32" customHeight="1" spans="1:24">
      <c r="A12" s="8"/>
      <c r="B12" s="13"/>
      <c r="C12" s="6" t="s">
        <v>14</v>
      </c>
      <c r="D12" s="16" t="s">
        <v>20</v>
      </c>
      <c r="E12" s="11">
        <v>40920</v>
      </c>
      <c r="F12" s="11">
        <f>1860*7</f>
        <v>13020</v>
      </c>
      <c r="G12" s="11">
        <f>1860*15</f>
        <v>27900</v>
      </c>
      <c r="H12" s="12"/>
      <c r="I12" s="6" t="s">
        <v>14</v>
      </c>
      <c r="J12" s="16" t="s">
        <v>20</v>
      </c>
      <c r="K12" s="25">
        <v>46210</v>
      </c>
      <c r="L12" s="26">
        <f t="shared" si="0"/>
        <v>5290</v>
      </c>
      <c r="M12" s="12">
        <f t="shared" si="1"/>
        <v>0.129276637341154</v>
      </c>
      <c r="N12" s="30">
        <f t="shared" si="4"/>
        <v>16173.5</v>
      </c>
      <c r="O12" s="31">
        <f t="shared" si="5"/>
        <v>3153.5</v>
      </c>
      <c r="P12" s="12">
        <f t="shared" si="6"/>
        <v>0.242204301075269</v>
      </c>
      <c r="Q12" s="30">
        <f t="shared" si="7"/>
        <v>30036.5</v>
      </c>
      <c r="R12" s="31">
        <f t="shared" si="8"/>
        <v>2136.5</v>
      </c>
      <c r="S12" s="12">
        <f t="shared" si="9"/>
        <v>0.0765770609318996</v>
      </c>
      <c r="T12" s="12"/>
      <c r="U12" s="12"/>
      <c r="W12" s="32"/>
      <c r="X12" s="32"/>
    </row>
    <row r="13" s="1" customFormat="1" ht="32" customHeight="1" spans="1:24">
      <c r="A13" s="8"/>
      <c r="B13" s="13"/>
      <c r="C13" s="6" t="s">
        <v>59</v>
      </c>
      <c r="D13" s="16" t="s">
        <v>21</v>
      </c>
      <c r="E13" s="11">
        <v>40260</v>
      </c>
      <c r="F13" s="11">
        <f>1830*7</f>
        <v>12810</v>
      </c>
      <c r="G13" s="11">
        <f>1830*15</f>
        <v>27450</v>
      </c>
      <c r="H13" s="12"/>
      <c r="I13" s="14" t="s">
        <v>16</v>
      </c>
      <c r="J13" s="16" t="s">
        <v>21</v>
      </c>
      <c r="K13" s="25">
        <v>45310</v>
      </c>
      <c r="L13" s="26">
        <f t="shared" si="0"/>
        <v>5050</v>
      </c>
      <c r="M13" s="12">
        <f t="shared" si="1"/>
        <v>0.125434674615003</v>
      </c>
      <c r="N13" s="30">
        <f t="shared" si="4"/>
        <v>15858.5</v>
      </c>
      <c r="O13" s="31">
        <f t="shared" si="5"/>
        <v>3048.5</v>
      </c>
      <c r="P13" s="12">
        <f t="shared" si="6"/>
        <v>0.237978142076503</v>
      </c>
      <c r="Q13" s="30">
        <f t="shared" si="7"/>
        <v>29451.5</v>
      </c>
      <c r="R13" s="31">
        <f t="shared" si="8"/>
        <v>2001.5</v>
      </c>
      <c r="S13" s="12">
        <f t="shared" si="9"/>
        <v>0.0729143897996356</v>
      </c>
      <c r="T13" s="12"/>
      <c r="U13" s="12"/>
      <c r="W13" s="32"/>
      <c r="X13" s="32"/>
    </row>
    <row r="14" s="1" customFormat="1" ht="32" customHeight="1" spans="1:24">
      <c r="A14" s="8"/>
      <c r="B14" s="9" t="s">
        <v>22</v>
      </c>
      <c r="C14" s="6" t="s">
        <v>12</v>
      </c>
      <c r="D14" s="16" t="s">
        <v>60</v>
      </c>
      <c r="E14" s="11">
        <v>43560</v>
      </c>
      <c r="F14" s="11">
        <f>1980*7</f>
        <v>13860</v>
      </c>
      <c r="G14" s="11">
        <f>1980*15</f>
        <v>29700</v>
      </c>
      <c r="H14" s="17" t="s">
        <v>61</v>
      </c>
      <c r="I14" s="6" t="s">
        <v>12</v>
      </c>
      <c r="J14" s="16" t="s">
        <v>23</v>
      </c>
      <c r="K14" s="25">
        <v>47960</v>
      </c>
      <c r="L14" s="26">
        <f t="shared" si="0"/>
        <v>4400</v>
      </c>
      <c r="M14" s="12">
        <f t="shared" si="1"/>
        <v>0.101010101010101</v>
      </c>
      <c r="N14" s="30">
        <f t="shared" si="4"/>
        <v>16786</v>
      </c>
      <c r="O14" s="31">
        <f t="shared" si="5"/>
        <v>2926</v>
      </c>
      <c r="P14" s="12">
        <f t="shared" si="6"/>
        <v>0.211111111111111</v>
      </c>
      <c r="Q14" s="30">
        <f t="shared" si="7"/>
        <v>31174</v>
      </c>
      <c r="R14" s="31">
        <f t="shared" si="8"/>
        <v>1474</v>
      </c>
      <c r="S14" s="12">
        <f t="shared" si="9"/>
        <v>0.0496296296296297</v>
      </c>
      <c r="T14" s="34" t="s">
        <v>62</v>
      </c>
      <c r="U14" s="35">
        <v>0.1013</v>
      </c>
      <c r="W14" s="32"/>
      <c r="X14" s="32"/>
    </row>
    <row r="15" s="1" customFormat="1" ht="110" customHeight="1" spans="1:24">
      <c r="A15" s="8"/>
      <c r="B15" s="13"/>
      <c r="C15" s="6" t="s">
        <v>14</v>
      </c>
      <c r="D15" s="16" t="s">
        <v>63</v>
      </c>
      <c r="E15" s="11">
        <v>41360</v>
      </c>
      <c r="F15" s="11">
        <f>1880*7</f>
        <v>13160</v>
      </c>
      <c r="G15" s="11">
        <f>1880*15</f>
        <v>28200</v>
      </c>
      <c r="H15" s="18"/>
      <c r="I15" s="6" t="s">
        <v>14</v>
      </c>
      <c r="J15" s="16" t="s">
        <v>24</v>
      </c>
      <c r="K15" s="25">
        <v>45540</v>
      </c>
      <c r="L15" s="26">
        <f t="shared" si="0"/>
        <v>4180</v>
      </c>
      <c r="M15" s="12">
        <f t="shared" si="1"/>
        <v>0.101063829787234</v>
      </c>
      <c r="N15" s="30">
        <f t="shared" si="4"/>
        <v>15939</v>
      </c>
      <c r="O15" s="31">
        <f t="shared" si="5"/>
        <v>2779</v>
      </c>
      <c r="P15" s="12">
        <f t="shared" si="6"/>
        <v>0.211170212765957</v>
      </c>
      <c r="Q15" s="30">
        <f t="shared" si="7"/>
        <v>29601</v>
      </c>
      <c r="R15" s="31">
        <f t="shared" si="8"/>
        <v>1401</v>
      </c>
      <c r="S15" s="12">
        <f t="shared" si="9"/>
        <v>0.0496808510638298</v>
      </c>
      <c r="T15" s="36"/>
      <c r="U15" s="37"/>
      <c r="W15" s="32"/>
      <c r="X15" s="32"/>
    </row>
    <row r="16" s="1" customFormat="1" ht="51" customHeight="1" spans="1:24">
      <c r="A16" s="8"/>
      <c r="B16" s="13"/>
      <c r="C16" s="6" t="s">
        <v>59</v>
      </c>
      <c r="D16" s="16" t="s">
        <v>64</v>
      </c>
      <c r="E16" s="11">
        <v>39600</v>
      </c>
      <c r="F16" s="11">
        <f>1800*7</f>
        <v>12600</v>
      </c>
      <c r="G16" s="11">
        <f>1800*15</f>
        <v>27000</v>
      </c>
      <c r="H16" s="19"/>
      <c r="I16" s="14" t="s">
        <v>16</v>
      </c>
      <c r="J16" s="16" t="s">
        <v>25</v>
      </c>
      <c r="K16" s="25">
        <v>43670</v>
      </c>
      <c r="L16" s="26">
        <f t="shared" si="0"/>
        <v>4070</v>
      </c>
      <c r="M16" s="12">
        <f t="shared" si="1"/>
        <v>0.102777777777778</v>
      </c>
      <c r="N16" s="30">
        <f t="shared" si="4"/>
        <v>15284.5</v>
      </c>
      <c r="O16" s="31">
        <f t="shared" si="5"/>
        <v>2684.5</v>
      </c>
      <c r="P16" s="12">
        <f t="shared" si="6"/>
        <v>0.213055555555555</v>
      </c>
      <c r="Q16" s="30">
        <f t="shared" si="7"/>
        <v>28385.5</v>
      </c>
      <c r="R16" s="31">
        <f t="shared" si="8"/>
        <v>1385.5</v>
      </c>
      <c r="S16" s="12">
        <f t="shared" si="9"/>
        <v>0.0513148148148148</v>
      </c>
      <c r="T16" s="38"/>
      <c r="U16" s="39"/>
      <c r="W16" s="32"/>
      <c r="X16" s="32"/>
    </row>
    <row r="17" s="1" customFormat="1" ht="32" customHeight="1" spans="1:24">
      <c r="A17" s="8"/>
      <c r="B17" s="9" t="s">
        <v>26</v>
      </c>
      <c r="C17" s="6" t="s">
        <v>12</v>
      </c>
      <c r="D17" s="20" t="s">
        <v>27</v>
      </c>
      <c r="E17" s="11">
        <v>41580</v>
      </c>
      <c r="F17" s="11">
        <f>1890*7</f>
        <v>13230</v>
      </c>
      <c r="G17" s="11">
        <f>1890*15</f>
        <v>28350</v>
      </c>
      <c r="H17" s="21" t="s">
        <v>65</v>
      </c>
      <c r="I17" s="6" t="s">
        <v>12</v>
      </c>
      <c r="J17" s="20" t="s">
        <v>27</v>
      </c>
      <c r="K17" s="25">
        <v>46740</v>
      </c>
      <c r="L17" s="26">
        <f t="shared" si="0"/>
        <v>5160</v>
      </c>
      <c r="M17" s="12">
        <f t="shared" si="1"/>
        <v>0.124098124098124</v>
      </c>
      <c r="N17" s="30">
        <f t="shared" si="4"/>
        <v>16359</v>
      </c>
      <c r="O17" s="31">
        <f t="shared" si="5"/>
        <v>3129</v>
      </c>
      <c r="P17" s="12">
        <f t="shared" si="6"/>
        <v>0.236507936507936</v>
      </c>
      <c r="Q17" s="30">
        <f t="shared" si="7"/>
        <v>30381</v>
      </c>
      <c r="R17" s="31">
        <f t="shared" si="8"/>
        <v>2031</v>
      </c>
      <c r="S17" s="12">
        <f t="shared" si="9"/>
        <v>0.0716402116402117</v>
      </c>
      <c r="T17" s="34" t="s">
        <v>66</v>
      </c>
      <c r="U17" s="35">
        <v>0.124</v>
      </c>
      <c r="W17" s="32"/>
      <c r="X17" s="32"/>
    </row>
    <row r="18" s="1" customFormat="1" ht="32" customHeight="1" spans="1:24">
      <c r="A18" s="8"/>
      <c r="B18" s="13"/>
      <c r="C18" s="6" t="s">
        <v>14</v>
      </c>
      <c r="D18" s="20" t="s">
        <v>28</v>
      </c>
      <c r="E18" s="11">
        <v>38430</v>
      </c>
      <c r="F18" s="11">
        <f>1830*7</f>
        <v>12810</v>
      </c>
      <c r="G18" s="11">
        <f>1890*14</f>
        <v>26460</v>
      </c>
      <c r="H18" s="18"/>
      <c r="I18" s="6" t="s">
        <v>14</v>
      </c>
      <c r="J18" s="20" t="s">
        <v>28</v>
      </c>
      <c r="K18" s="25">
        <v>43310</v>
      </c>
      <c r="L18" s="26">
        <f t="shared" si="0"/>
        <v>4880</v>
      </c>
      <c r="M18" s="12">
        <f t="shared" si="1"/>
        <v>0.126984126984127</v>
      </c>
      <c r="N18" s="30">
        <f t="shared" si="4"/>
        <v>15158.5</v>
      </c>
      <c r="O18" s="31">
        <f t="shared" si="5"/>
        <v>2348.5</v>
      </c>
      <c r="P18" s="12">
        <f t="shared" si="6"/>
        <v>0.183333333333333</v>
      </c>
      <c r="Q18" s="30">
        <f t="shared" si="7"/>
        <v>28151.5</v>
      </c>
      <c r="R18" s="31">
        <f t="shared" si="8"/>
        <v>1691.5</v>
      </c>
      <c r="S18" s="12">
        <f t="shared" si="9"/>
        <v>0.0639266817838247</v>
      </c>
      <c r="T18" s="36"/>
      <c r="U18" s="37"/>
      <c r="W18" s="32"/>
      <c r="X18" s="32"/>
    </row>
    <row r="19" s="1" customFormat="1" ht="32" customHeight="1" spans="1:24">
      <c r="A19" s="8"/>
      <c r="B19" s="13"/>
      <c r="C19" s="6" t="s">
        <v>59</v>
      </c>
      <c r="D19" s="20" t="s">
        <v>29</v>
      </c>
      <c r="E19" s="11">
        <v>37170</v>
      </c>
      <c r="F19" s="11">
        <f>1770*7</f>
        <v>12390</v>
      </c>
      <c r="G19" s="11">
        <f>1770*14</f>
        <v>24780</v>
      </c>
      <c r="H19" s="19"/>
      <c r="I19" s="14" t="s">
        <v>16</v>
      </c>
      <c r="J19" s="20" t="s">
        <v>29</v>
      </c>
      <c r="K19" s="25">
        <v>41920</v>
      </c>
      <c r="L19" s="26">
        <f t="shared" si="0"/>
        <v>4750</v>
      </c>
      <c r="M19" s="12">
        <f t="shared" si="1"/>
        <v>0.127791229486145</v>
      </c>
      <c r="N19" s="30">
        <f t="shared" si="4"/>
        <v>14672</v>
      </c>
      <c r="O19" s="31">
        <f t="shared" si="5"/>
        <v>2282</v>
      </c>
      <c r="P19" s="12">
        <f t="shared" si="6"/>
        <v>0.184180790960452</v>
      </c>
      <c r="Q19" s="30">
        <f t="shared" si="7"/>
        <v>27248</v>
      </c>
      <c r="R19" s="31">
        <f t="shared" si="8"/>
        <v>2468</v>
      </c>
      <c r="S19" s="12">
        <f t="shared" si="9"/>
        <v>0.0995964487489911</v>
      </c>
      <c r="T19" s="38"/>
      <c r="U19" s="39"/>
      <c r="W19" s="32"/>
      <c r="X19" s="32"/>
    </row>
    <row r="20" s="2" customFormat="1" ht="58" customHeight="1" spans="1:21">
      <c r="A20" s="22" t="s">
        <v>67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="2" customFormat="1" ht="25" customHeight="1" spans="1:19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</sheetData>
  <mergeCells count="35">
    <mergeCell ref="A1:U1"/>
    <mergeCell ref="A2:H2"/>
    <mergeCell ref="I2:U2"/>
    <mergeCell ref="A3:B3"/>
    <mergeCell ref="F3:G3"/>
    <mergeCell ref="N3:S3"/>
    <mergeCell ref="A20:U20"/>
    <mergeCell ref="A5:A19"/>
    <mergeCell ref="B5:B7"/>
    <mergeCell ref="B8:B10"/>
    <mergeCell ref="B11:B13"/>
    <mergeCell ref="B14:B16"/>
    <mergeCell ref="B17:B19"/>
    <mergeCell ref="E3:E4"/>
    <mergeCell ref="H3:H4"/>
    <mergeCell ref="H5:H7"/>
    <mergeCell ref="H8:H10"/>
    <mergeCell ref="H11:H13"/>
    <mergeCell ref="H14:H16"/>
    <mergeCell ref="H17:H19"/>
    <mergeCell ref="K3:K4"/>
    <mergeCell ref="L3:L4"/>
    <mergeCell ref="M3:M4"/>
    <mergeCell ref="T3:T4"/>
    <mergeCell ref="T5:T7"/>
    <mergeCell ref="T8:T10"/>
    <mergeCell ref="T11:T13"/>
    <mergeCell ref="T14:T16"/>
    <mergeCell ref="T17:T19"/>
    <mergeCell ref="U3:U4"/>
    <mergeCell ref="U5:U7"/>
    <mergeCell ref="U8:U10"/>
    <mergeCell ref="U11:U13"/>
    <mergeCell ref="U14:U16"/>
    <mergeCell ref="U17:U19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上报版</vt:lpstr>
      <vt:lpstr>平衡建议版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汪娟</cp:lastModifiedBy>
  <dcterms:created xsi:type="dcterms:W3CDTF">2020-01-11T03:55:00Z</dcterms:created>
  <dcterms:modified xsi:type="dcterms:W3CDTF">2020-01-20T03:02:38Z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2052-10.8.2.6784</vt:lpwstr>
  </property>
</Properties>
</file>